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445" activeTab="1"/>
  </bookViews>
  <sheets>
    <sheet name="Sheet2" sheetId="1" r:id="rId1"/>
    <sheet name="Sheet3" sheetId="2" r:id="rId2"/>
  </sheets>
  <definedNames>
    <definedName name="addresses">'Sheet3'!$A$12:$E$16</definedName>
    <definedName name="super">'Sheet3'!$A$19:$C$23</definedName>
    <definedName name="taxrates">'Sheet3'!$A$3:$B$7</definedName>
    <definedName name="totals">'Sheet2'!$A$57:$F$61</definedName>
  </definedNames>
  <calcPr fullCalcOnLoad="1"/>
</workbook>
</file>

<file path=xl/sharedStrings.xml><?xml version="1.0" encoding="utf-8"?>
<sst xmlns="http://schemas.openxmlformats.org/spreadsheetml/2006/main" count="118" uniqueCount="59">
  <si>
    <t>Name</t>
  </si>
  <si>
    <t>Start Time</t>
  </si>
  <si>
    <t>Finish Time</t>
  </si>
  <si>
    <t>Hours Worked</t>
  </si>
  <si>
    <t>Susan</t>
  </si>
  <si>
    <t>Gross Pay ($)</t>
  </si>
  <si>
    <t>Overtime Amount</t>
  </si>
  <si>
    <t>Katie</t>
  </si>
  <si>
    <t>Sarah</t>
  </si>
  <si>
    <t>Derek</t>
  </si>
  <si>
    <t>Total Hours</t>
  </si>
  <si>
    <t>Pay Scale</t>
  </si>
  <si>
    <t>Lucy</t>
  </si>
  <si>
    <t>Base Rate ($)</t>
  </si>
  <si>
    <t>Monday</t>
  </si>
  <si>
    <t>Tuesday</t>
  </si>
  <si>
    <t>Wednesday</t>
  </si>
  <si>
    <t>Thursday</t>
  </si>
  <si>
    <t>Friday</t>
  </si>
  <si>
    <t>Saturday</t>
  </si>
  <si>
    <t>Sunday</t>
  </si>
  <si>
    <t>Tax</t>
  </si>
  <si>
    <t>Tax Rates</t>
  </si>
  <si>
    <t>$</t>
  </si>
  <si>
    <t>%</t>
  </si>
  <si>
    <t>Name:</t>
  </si>
  <si>
    <t>Gross Pay</t>
  </si>
  <si>
    <t>Net Pay</t>
  </si>
  <si>
    <t>Total for Week</t>
  </si>
  <si>
    <t>Hours</t>
  </si>
  <si>
    <t>Address:</t>
  </si>
  <si>
    <t>Superannuation</t>
  </si>
  <si>
    <t>NB totals have to be in alphabetical order</t>
  </si>
  <si>
    <t>Insight Clothing</t>
  </si>
  <si>
    <t>Address</t>
  </si>
  <si>
    <t>71 Bluebird Ave</t>
  </si>
  <si>
    <t>Suburb</t>
  </si>
  <si>
    <t>Postcode</t>
  </si>
  <si>
    <t>State</t>
  </si>
  <si>
    <t>Mount Eliza</t>
  </si>
  <si>
    <t>VIC</t>
  </si>
  <si>
    <t>1 David Crt</t>
  </si>
  <si>
    <t>Prahran</t>
  </si>
  <si>
    <t>3 Packington St</t>
  </si>
  <si>
    <t>Camberwell</t>
  </si>
  <si>
    <t>67 Hawthorn St</t>
  </si>
  <si>
    <t>Mornington</t>
  </si>
  <si>
    <t>25 Vineyard St</t>
  </si>
  <si>
    <t>Red Hill</t>
  </si>
  <si>
    <t>Pay Advice Slip</t>
  </si>
  <si>
    <t>Superannuation Fund:</t>
  </si>
  <si>
    <t>Member Number:</t>
  </si>
  <si>
    <t>CBUS</t>
  </si>
  <si>
    <t>HESTA</t>
  </si>
  <si>
    <t>ARF</t>
  </si>
  <si>
    <t>Validation</t>
  </si>
  <si>
    <t>Voucher Amount</t>
  </si>
  <si>
    <t>&gt;1250</t>
  </si>
  <si>
    <t>Voucher Amount: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</si>
</sst>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&quot;$&quot;#,##0.00"/>
    <numFmt numFmtId="175" formatCode="0.0"/>
    <numFmt numFmtId="176" formatCode="[$-F400]h:mm:ss\ AM/PM"/>
    <numFmt numFmtId="177" formatCode="h:mm:ss;@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" fontId="0" fillId="0" borderId="0" xfId="0" applyNumberFormat="1" applyFont="1" applyAlignment="1">
      <alignment/>
    </xf>
    <xf numFmtId="18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8" fontId="0" fillId="0" borderId="0" xfId="0" applyNumberFormat="1" applyAlignment="1">
      <alignment/>
    </xf>
    <xf numFmtId="18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4" fontId="0" fillId="0" borderId="5" xfId="17" applyBorder="1" applyAlignment="1">
      <alignment/>
    </xf>
    <xf numFmtId="44" fontId="3" fillId="0" borderId="9" xfId="17" applyFont="1" applyBorder="1" applyAlignment="1">
      <alignment/>
    </xf>
    <xf numFmtId="44" fontId="0" fillId="0" borderId="0" xfId="17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33">
      <selection activeCell="J38" sqref="J38"/>
    </sheetView>
  </sheetViews>
  <sheetFormatPr defaultColWidth="9.140625" defaultRowHeight="12.75"/>
  <cols>
    <col min="1" max="1" width="12.8515625" style="0" customWidth="1"/>
    <col min="2" max="2" width="10.421875" style="0" bestFit="1" customWidth="1"/>
    <col min="3" max="3" width="11.57421875" style="0" bestFit="1" customWidth="1"/>
    <col min="4" max="4" width="13.8515625" style="0" bestFit="1" customWidth="1"/>
    <col min="5" max="5" width="17.57421875" style="0" customWidth="1"/>
    <col min="6" max="6" width="14.00390625" style="0" bestFit="1" customWidth="1"/>
    <col min="7" max="7" width="10.140625" style="0" bestFit="1" customWidth="1"/>
    <col min="8" max="8" width="13.00390625" style="0" customWidth="1"/>
    <col min="9" max="9" width="3.8515625" style="0" customWidth="1"/>
    <col min="10" max="10" width="13.00390625" style="0" customWidth="1"/>
    <col min="12" max="12" width="11.421875" style="0" customWidth="1"/>
    <col min="13" max="13" width="13.7109375" style="0" customWidth="1"/>
  </cols>
  <sheetData>
    <row r="2" spans="1:13" ht="18">
      <c r="A2" s="1"/>
      <c r="B2" s="1"/>
      <c r="C2" s="1"/>
      <c r="D2" s="1"/>
      <c r="E2" s="12" t="s">
        <v>33</v>
      </c>
      <c r="F2" s="1"/>
      <c r="G2" s="1"/>
      <c r="H2" s="1"/>
      <c r="I2" s="1"/>
      <c r="J2" s="1"/>
      <c r="K2" s="1"/>
      <c r="L2" s="1"/>
      <c r="M2" s="1"/>
    </row>
    <row r="3" spans="1:13" ht="12.75">
      <c r="A3" s="29" t="s">
        <v>13</v>
      </c>
      <c r="B3" s="29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29" t="s">
        <v>0</v>
      </c>
      <c r="B5" s="29" t="s">
        <v>1</v>
      </c>
      <c r="C5" s="29" t="s">
        <v>2</v>
      </c>
      <c r="D5" s="29" t="s">
        <v>3</v>
      </c>
      <c r="E5" s="29" t="s">
        <v>6</v>
      </c>
      <c r="F5" s="29" t="s">
        <v>10</v>
      </c>
      <c r="G5" s="29" t="s">
        <v>11</v>
      </c>
      <c r="H5" s="29" t="s">
        <v>5</v>
      </c>
      <c r="I5" s="29"/>
      <c r="J5" s="29" t="s">
        <v>55</v>
      </c>
      <c r="K5" s="1"/>
      <c r="L5" s="1"/>
      <c r="M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ht="12.75">
      <c r="A7" t="s">
        <v>14</v>
      </c>
    </row>
    <row r="8" spans="1:13" ht="12.75">
      <c r="A8" s="1" t="s">
        <v>7</v>
      </c>
      <c r="B8" s="5">
        <v>0.375</v>
      </c>
      <c r="C8" s="6">
        <v>0.6666666666666666</v>
      </c>
      <c r="D8" s="7">
        <f>(C8-B8)*24</f>
        <v>6.999999999999999</v>
      </c>
      <c r="E8" s="2" t="str">
        <f>IF(D8&gt;8,D8-8,"0")</f>
        <v>0</v>
      </c>
      <c r="F8" s="4">
        <f aca="true" t="shared" si="0" ref="F8:F39">IF(D8&gt;8,D8+(D8-8)*0.5,D8)</f>
        <v>6.999999999999999</v>
      </c>
      <c r="G8" s="1">
        <v>1.5</v>
      </c>
      <c r="H8" s="3">
        <f>(F8*G8*$B$3)</f>
        <v>157.49999999999997</v>
      </c>
      <c r="I8" s="3"/>
      <c r="J8" s="3" t="str">
        <f>IF(AND(C8&gt;B8,B8&gt;=0.375,C8&lt;=0.75),"ok",IF(B8+C8=0,"ok","error"))</f>
        <v>ok</v>
      </c>
      <c r="K8" s="28"/>
      <c r="L8" s="1"/>
      <c r="M8" s="1"/>
    </row>
    <row r="9" spans="1:13" ht="12.75">
      <c r="A9" s="1" t="s">
        <v>8</v>
      </c>
      <c r="B9" s="5">
        <v>0.4583333333333333</v>
      </c>
      <c r="C9" s="5">
        <v>0.75</v>
      </c>
      <c r="D9" s="7">
        <f>(C9-B9)*24</f>
        <v>7</v>
      </c>
      <c r="E9" s="2" t="str">
        <f aca="true" t="shared" si="1" ref="E9:E54">IF(D9&gt;8,D9-8,"0")</f>
        <v>0</v>
      </c>
      <c r="F9" s="4">
        <f t="shared" si="0"/>
        <v>7</v>
      </c>
      <c r="G9" s="1">
        <v>1.45</v>
      </c>
      <c r="H9" s="3">
        <f aca="true" t="shared" si="2" ref="H9:H40">(F9*G9*$B$3)</f>
        <v>152.25</v>
      </c>
      <c r="I9" s="3"/>
      <c r="J9" s="3" t="str">
        <f aca="true" t="shared" si="3" ref="J9:J47">IF(AND(C9&gt;B9,B9&gt;=0.375,C9&lt;=0.75),"ok",IF(B9+C9=0,"ok","error"))</f>
        <v>ok</v>
      </c>
      <c r="K9" s="28"/>
      <c r="L9" s="1"/>
      <c r="M9" s="1"/>
    </row>
    <row r="10" spans="1:13" ht="12.75">
      <c r="A10" s="1" t="s">
        <v>4</v>
      </c>
      <c r="B10" s="6">
        <v>0.375</v>
      </c>
      <c r="C10" s="5">
        <v>0.5833333333333334</v>
      </c>
      <c r="D10" s="7">
        <f>(C10-B10)*24</f>
        <v>5.000000000000001</v>
      </c>
      <c r="E10" s="2" t="str">
        <f t="shared" si="1"/>
        <v>0</v>
      </c>
      <c r="F10" s="4">
        <f t="shared" si="0"/>
        <v>5.000000000000001</v>
      </c>
      <c r="G10" s="1">
        <v>1.59</v>
      </c>
      <c r="H10" s="3">
        <f t="shared" si="2"/>
        <v>119.25000000000003</v>
      </c>
      <c r="I10" s="3"/>
      <c r="J10" s="3" t="str">
        <f t="shared" si="3"/>
        <v>ok</v>
      </c>
      <c r="K10" s="28"/>
      <c r="L10" s="1"/>
      <c r="M10" s="1"/>
    </row>
    <row r="11" spans="1:13" ht="12.75">
      <c r="A11" s="1" t="s">
        <v>9</v>
      </c>
      <c r="B11" s="6"/>
      <c r="C11" s="5"/>
      <c r="D11" s="7">
        <f>(C11-B11)*24</f>
        <v>0</v>
      </c>
      <c r="E11" s="2" t="str">
        <f t="shared" si="1"/>
        <v>0</v>
      </c>
      <c r="F11" s="4">
        <f t="shared" si="0"/>
        <v>0</v>
      </c>
      <c r="G11" s="1">
        <v>1.6</v>
      </c>
      <c r="H11" s="3">
        <f t="shared" si="2"/>
        <v>0</v>
      </c>
      <c r="I11" s="3"/>
      <c r="J11" s="3" t="str">
        <f t="shared" si="3"/>
        <v>ok</v>
      </c>
      <c r="K11" s="28"/>
      <c r="L11" s="1"/>
      <c r="M11" s="1"/>
    </row>
    <row r="12" spans="1:13" ht="12.75">
      <c r="A12" s="1" t="s">
        <v>12</v>
      </c>
      <c r="B12" s="6">
        <v>0.4583333333333333</v>
      </c>
      <c r="C12" s="5">
        <v>0.7083333333333334</v>
      </c>
      <c r="D12" s="7">
        <f>(C12-B12)*24</f>
        <v>6.000000000000002</v>
      </c>
      <c r="E12" s="2" t="str">
        <f t="shared" si="1"/>
        <v>0</v>
      </c>
      <c r="F12" s="4">
        <f t="shared" si="0"/>
        <v>6.000000000000002</v>
      </c>
      <c r="G12" s="1">
        <v>1.25</v>
      </c>
      <c r="H12" s="3">
        <f t="shared" si="2"/>
        <v>112.50000000000003</v>
      </c>
      <c r="I12" s="3"/>
      <c r="J12" s="3" t="str">
        <f t="shared" si="3"/>
        <v>ok</v>
      </c>
      <c r="K12" s="28"/>
      <c r="L12" s="1"/>
      <c r="M12" s="1"/>
    </row>
    <row r="13" spans="1:11" ht="12.75">
      <c r="A13" s="1"/>
      <c r="B13" s="1"/>
      <c r="C13" s="1"/>
      <c r="D13" s="7"/>
      <c r="E13" s="2"/>
      <c r="F13" s="4"/>
      <c r="G13" s="1"/>
      <c r="H13" s="3"/>
      <c r="I13" s="3"/>
      <c r="J13" s="3"/>
      <c r="K13" s="1"/>
    </row>
    <row r="14" spans="1:11" ht="12.75">
      <c r="A14" s="1" t="s">
        <v>15</v>
      </c>
      <c r="B14" s="1"/>
      <c r="C14" s="1"/>
      <c r="D14" s="7"/>
      <c r="E14" s="2"/>
      <c r="F14" s="4"/>
      <c r="G14" s="1"/>
      <c r="H14" s="3"/>
      <c r="I14" s="3"/>
      <c r="J14" s="3"/>
      <c r="K14" s="1"/>
    </row>
    <row r="15" spans="1:11" ht="12.75">
      <c r="A15" s="1" t="s">
        <v>7</v>
      </c>
      <c r="B15" s="9">
        <v>0.375</v>
      </c>
      <c r="C15" s="9">
        <v>0.6666666666666666</v>
      </c>
      <c r="D15" s="7">
        <f>(C15-B15)*24</f>
        <v>6.999999999999999</v>
      </c>
      <c r="E15" s="2" t="str">
        <f t="shared" si="1"/>
        <v>0</v>
      </c>
      <c r="F15" s="4">
        <f t="shared" si="0"/>
        <v>6.999999999999999</v>
      </c>
      <c r="G15" s="1">
        <v>1.5</v>
      </c>
      <c r="H15" s="3">
        <f t="shared" si="2"/>
        <v>157.49999999999997</v>
      </c>
      <c r="I15" s="3"/>
      <c r="J15" s="3" t="str">
        <f t="shared" si="3"/>
        <v>ok</v>
      </c>
      <c r="K15" s="1"/>
    </row>
    <row r="16" spans="1:11" ht="12.75">
      <c r="A16" s="1" t="s">
        <v>8</v>
      </c>
      <c r="B16" s="9">
        <v>0.4166666666666667</v>
      </c>
      <c r="C16" s="9">
        <v>0.6666666666666666</v>
      </c>
      <c r="D16" s="7">
        <f>(C16-B16)*24</f>
        <v>5.999999999999998</v>
      </c>
      <c r="E16" s="2" t="str">
        <f t="shared" si="1"/>
        <v>0</v>
      </c>
      <c r="F16" s="4">
        <f t="shared" si="0"/>
        <v>5.999999999999998</v>
      </c>
      <c r="G16" s="1">
        <v>1.45</v>
      </c>
      <c r="H16" s="3">
        <f t="shared" si="2"/>
        <v>130.49999999999997</v>
      </c>
      <c r="I16" s="3"/>
      <c r="J16" s="3" t="str">
        <f t="shared" si="3"/>
        <v>ok</v>
      </c>
      <c r="K16" s="1"/>
    </row>
    <row r="17" spans="1:11" ht="12.75">
      <c r="A17" s="1" t="s">
        <v>4</v>
      </c>
      <c r="D17" s="7">
        <f>(C17-B17)*24</f>
        <v>0</v>
      </c>
      <c r="E17" s="2" t="str">
        <f t="shared" si="1"/>
        <v>0</v>
      </c>
      <c r="F17" s="4">
        <f t="shared" si="0"/>
        <v>0</v>
      </c>
      <c r="G17" s="1">
        <v>1.59</v>
      </c>
      <c r="H17" s="3">
        <f t="shared" si="2"/>
        <v>0</v>
      </c>
      <c r="I17" s="3"/>
      <c r="J17" s="3" t="str">
        <f t="shared" si="3"/>
        <v>ok</v>
      </c>
      <c r="K17" s="1"/>
    </row>
    <row r="18" spans="1:11" ht="12.75">
      <c r="A18" s="1" t="s">
        <v>9</v>
      </c>
      <c r="B18" s="9">
        <v>0.5</v>
      </c>
      <c r="C18" s="9">
        <v>0.75</v>
      </c>
      <c r="D18" s="7">
        <f>(C18-B18)*24</f>
        <v>6</v>
      </c>
      <c r="E18" s="2" t="str">
        <f t="shared" si="1"/>
        <v>0</v>
      </c>
      <c r="F18" s="4">
        <f t="shared" si="0"/>
        <v>6</v>
      </c>
      <c r="G18" s="1">
        <v>1.6</v>
      </c>
      <c r="H18" s="3">
        <f t="shared" si="2"/>
        <v>144.00000000000003</v>
      </c>
      <c r="I18" s="3"/>
      <c r="J18" s="3" t="str">
        <f t="shared" si="3"/>
        <v>ok</v>
      </c>
      <c r="K18" s="1"/>
    </row>
    <row r="19" spans="1:11" ht="12.75">
      <c r="A19" s="1" t="s">
        <v>12</v>
      </c>
      <c r="B19" s="10">
        <v>0.375</v>
      </c>
      <c r="C19" s="9">
        <v>0.625</v>
      </c>
      <c r="D19" s="7">
        <f>(C19-B19)*24</f>
        <v>6</v>
      </c>
      <c r="E19" s="2" t="str">
        <f t="shared" si="1"/>
        <v>0</v>
      </c>
      <c r="F19" s="4">
        <f t="shared" si="0"/>
        <v>6</v>
      </c>
      <c r="G19" s="1">
        <v>1.25</v>
      </c>
      <c r="H19" s="3">
        <f t="shared" si="2"/>
        <v>112.5</v>
      </c>
      <c r="I19" s="3"/>
      <c r="J19" s="3" t="str">
        <f t="shared" si="3"/>
        <v>ok</v>
      </c>
      <c r="K19" s="1"/>
    </row>
    <row r="20" spans="4:11" ht="12.75">
      <c r="D20" s="7"/>
      <c r="E20" s="2"/>
      <c r="F20" s="4"/>
      <c r="H20" s="3"/>
      <c r="I20" s="3"/>
      <c r="J20" s="3"/>
      <c r="K20" s="1"/>
    </row>
    <row r="21" spans="1:11" ht="12.75">
      <c r="A21" t="s">
        <v>16</v>
      </c>
      <c r="D21" s="7"/>
      <c r="E21" s="2"/>
      <c r="F21" s="4"/>
      <c r="H21" s="3"/>
      <c r="I21" s="3"/>
      <c r="J21" s="3"/>
      <c r="K21" s="1"/>
    </row>
    <row r="22" spans="1:11" ht="12.75">
      <c r="A22" s="1" t="s">
        <v>7</v>
      </c>
      <c r="B22" s="9">
        <v>0.375</v>
      </c>
      <c r="C22" s="9">
        <v>0.5416666666666666</v>
      </c>
      <c r="D22" s="7">
        <f>(C22-B22)*24</f>
        <v>3.999999999999999</v>
      </c>
      <c r="E22" s="2" t="str">
        <f t="shared" si="1"/>
        <v>0</v>
      </c>
      <c r="F22" s="4">
        <f t="shared" si="0"/>
        <v>3.999999999999999</v>
      </c>
      <c r="G22" s="1">
        <v>1.5</v>
      </c>
      <c r="H22" s="3">
        <f t="shared" si="2"/>
        <v>89.99999999999997</v>
      </c>
      <c r="I22" s="3"/>
      <c r="J22" s="3" t="str">
        <f t="shared" si="3"/>
        <v>ok</v>
      </c>
      <c r="K22" s="1"/>
    </row>
    <row r="23" spans="1:11" ht="12.75">
      <c r="A23" s="1" t="s">
        <v>8</v>
      </c>
      <c r="D23" s="7">
        <f>(C23-B23)*24</f>
        <v>0</v>
      </c>
      <c r="E23" s="2" t="str">
        <f t="shared" si="1"/>
        <v>0</v>
      </c>
      <c r="F23" s="4">
        <f t="shared" si="0"/>
        <v>0</v>
      </c>
      <c r="G23" s="1">
        <v>1.45</v>
      </c>
      <c r="H23" s="3">
        <f t="shared" si="2"/>
        <v>0</v>
      </c>
      <c r="I23" s="3"/>
      <c r="J23" s="3" t="str">
        <f t="shared" si="3"/>
        <v>ok</v>
      </c>
      <c r="K23" s="1"/>
    </row>
    <row r="24" spans="1:11" ht="12.75">
      <c r="A24" s="1" t="s">
        <v>4</v>
      </c>
      <c r="B24" s="9">
        <v>0.375</v>
      </c>
      <c r="C24" s="9">
        <v>0.625</v>
      </c>
      <c r="D24" s="7">
        <f>(C24-B24)*24</f>
        <v>6</v>
      </c>
      <c r="E24" s="2" t="str">
        <f t="shared" si="1"/>
        <v>0</v>
      </c>
      <c r="F24" s="4">
        <f t="shared" si="0"/>
        <v>6</v>
      </c>
      <c r="G24" s="1">
        <v>1.59</v>
      </c>
      <c r="H24" s="3">
        <f t="shared" si="2"/>
        <v>143.10000000000002</v>
      </c>
      <c r="I24" s="3"/>
      <c r="J24" s="3" t="str">
        <f t="shared" si="3"/>
        <v>ok</v>
      </c>
      <c r="K24" s="1"/>
    </row>
    <row r="25" spans="1:11" ht="12.75">
      <c r="A25" s="1" t="s">
        <v>9</v>
      </c>
      <c r="B25" s="9">
        <v>0.375</v>
      </c>
      <c r="C25" s="9">
        <v>0.6666666666666666</v>
      </c>
      <c r="D25" s="7">
        <f>(C25-B25)*24</f>
        <v>6.999999999999999</v>
      </c>
      <c r="E25" s="2" t="str">
        <f t="shared" si="1"/>
        <v>0</v>
      </c>
      <c r="F25" s="4">
        <f t="shared" si="0"/>
        <v>6.999999999999999</v>
      </c>
      <c r="G25" s="1">
        <v>1.6</v>
      </c>
      <c r="H25" s="3">
        <f t="shared" si="2"/>
        <v>168</v>
      </c>
      <c r="I25" s="3"/>
      <c r="J25" s="3" t="str">
        <f t="shared" si="3"/>
        <v>ok</v>
      </c>
      <c r="K25" s="1"/>
    </row>
    <row r="26" spans="1:11" ht="12.75">
      <c r="A26" s="1" t="s">
        <v>12</v>
      </c>
      <c r="B26" s="9">
        <v>0.5833333333333334</v>
      </c>
      <c r="C26" s="9">
        <v>0.75</v>
      </c>
      <c r="D26" s="7">
        <f>(C26-B26)*24</f>
        <v>3.999999999999999</v>
      </c>
      <c r="E26" s="2" t="str">
        <f t="shared" si="1"/>
        <v>0</v>
      </c>
      <c r="F26" s="4">
        <f t="shared" si="0"/>
        <v>3.999999999999999</v>
      </c>
      <c r="G26" s="1">
        <v>1.25</v>
      </c>
      <c r="H26" s="3">
        <f t="shared" si="2"/>
        <v>74.99999999999999</v>
      </c>
      <c r="I26" s="3"/>
      <c r="J26" s="3" t="str">
        <f t="shared" si="3"/>
        <v>ok</v>
      </c>
      <c r="K26" s="1"/>
    </row>
    <row r="27" spans="4:11" ht="12.75">
      <c r="D27" s="7"/>
      <c r="E27" s="2"/>
      <c r="F27" s="4"/>
      <c r="H27" s="3"/>
      <c r="I27" s="3"/>
      <c r="J27" s="3"/>
      <c r="K27" s="1"/>
    </row>
    <row r="28" spans="1:11" ht="12.75">
      <c r="A28" t="s">
        <v>17</v>
      </c>
      <c r="D28" s="7"/>
      <c r="E28" s="2"/>
      <c r="F28" s="4"/>
      <c r="H28" s="3"/>
      <c r="I28" s="3"/>
      <c r="J28" s="3"/>
      <c r="K28" s="1"/>
    </row>
    <row r="29" spans="1:11" ht="12.75">
      <c r="A29" s="1" t="s">
        <v>7</v>
      </c>
      <c r="D29" s="7">
        <f>(C29-B29)*24</f>
        <v>0</v>
      </c>
      <c r="E29" s="2" t="str">
        <f t="shared" si="1"/>
        <v>0</v>
      </c>
      <c r="F29" s="4">
        <f t="shared" si="0"/>
        <v>0</v>
      </c>
      <c r="G29" s="1">
        <v>1.5</v>
      </c>
      <c r="H29" s="3">
        <f t="shared" si="2"/>
        <v>0</v>
      </c>
      <c r="I29" s="3"/>
      <c r="J29" s="3" t="str">
        <f t="shared" si="3"/>
        <v>ok</v>
      </c>
      <c r="K29" s="1"/>
    </row>
    <row r="30" spans="1:11" ht="12.75">
      <c r="A30" s="1" t="s">
        <v>8</v>
      </c>
      <c r="B30" s="9">
        <v>0.5</v>
      </c>
      <c r="C30" s="9">
        <v>0.75</v>
      </c>
      <c r="D30" s="7">
        <f>(C30-B30)*24</f>
        <v>6</v>
      </c>
      <c r="E30" s="2" t="str">
        <f t="shared" si="1"/>
        <v>0</v>
      </c>
      <c r="F30" s="4">
        <f t="shared" si="0"/>
        <v>6</v>
      </c>
      <c r="G30" s="1">
        <v>1.45</v>
      </c>
      <c r="H30" s="3">
        <f t="shared" si="2"/>
        <v>130.5</v>
      </c>
      <c r="I30" s="3"/>
      <c r="J30" s="3" t="str">
        <f t="shared" si="3"/>
        <v>ok</v>
      </c>
      <c r="K30" s="1"/>
    </row>
    <row r="31" spans="1:11" ht="12.75">
      <c r="A31" s="1" t="s">
        <v>4</v>
      </c>
      <c r="B31" s="9">
        <v>0.375</v>
      </c>
      <c r="C31" s="9">
        <v>0.625</v>
      </c>
      <c r="D31" s="7">
        <f>(C31-B31)*24</f>
        <v>6</v>
      </c>
      <c r="E31" s="2" t="str">
        <f t="shared" si="1"/>
        <v>0</v>
      </c>
      <c r="F31" s="4">
        <f t="shared" si="0"/>
        <v>6</v>
      </c>
      <c r="G31" s="1">
        <v>1.59</v>
      </c>
      <c r="H31" s="3">
        <f t="shared" si="2"/>
        <v>143.10000000000002</v>
      </c>
      <c r="I31" s="3"/>
      <c r="J31" s="3" t="str">
        <f t="shared" si="3"/>
        <v>ok</v>
      </c>
      <c r="K31" s="1"/>
    </row>
    <row r="32" spans="1:11" ht="12.75">
      <c r="A32" s="1" t="s">
        <v>9</v>
      </c>
      <c r="B32" s="9">
        <v>0.4166666666666667</v>
      </c>
      <c r="C32" s="9">
        <v>0.625</v>
      </c>
      <c r="D32" s="7">
        <f>(C32-B32)*24</f>
        <v>5</v>
      </c>
      <c r="E32" s="2" t="str">
        <f t="shared" si="1"/>
        <v>0</v>
      </c>
      <c r="F32" s="4">
        <f t="shared" si="0"/>
        <v>5</v>
      </c>
      <c r="G32" s="1">
        <v>1.6</v>
      </c>
      <c r="H32" s="3">
        <f t="shared" si="2"/>
        <v>120</v>
      </c>
      <c r="I32" s="3"/>
      <c r="J32" s="3" t="str">
        <f t="shared" si="3"/>
        <v>ok</v>
      </c>
      <c r="K32" s="1"/>
    </row>
    <row r="33" spans="1:11" ht="12.75">
      <c r="A33" s="1" t="s">
        <v>12</v>
      </c>
      <c r="D33" s="7"/>
      <c r="E33" s="2"/>
      <c r="F33" s="4"/>
      <c r="G33" s="1">
        <v>1.25</v>
      </c>
      <c r="H33" s="3">
        <f t="shared" si="2"/>
        <v>0</v>
      </c>
      <c r="I33" s="3"/>
      <c r="J33" s="3" t="str">
        <f t="shared" si="3"/>
        <v>ok</v>
      </c>
      <c r="K33" s="1"/>
    </row>
    <row r="34" spans="1:11" ht="12.75">
      <c r="A34" s="1"/>
      <c r="D34" s="7"/>
      <c r="E34" s="2"/>
      <c r="F34" s="4"/>
      <c r="H34" s="3"/>
      <c r="I34" s="3"/>
      <c r="J34" s="3"/>
      <c r="K34" s="1"/>
    </row>
    <row r="35" spans="1:11" ht="12.75">
      <c r="A35" t="s">
        <v>18</v>
      </c>
      <c r="D35" s="7"/>
      <c r="E35" s="2"/>
      <c r="F35" s="4"/>
      <c r="H35" s="3"/>
      <c r="I35" s="3"/>
      <c r="J35" s="3"/>
      <c r="K35" s="1"/>
    </row>
    <row r="36" spans="1:11" ht="12.75">
      <c r="A36" s="1" t="s">
        <v>7</v>
      </c>
      <c r="B36" s="10">
        <v>0.375</v>
      </c>
      <c r="C36" s="9">
        <v>0.625</v>
      </c>
      <c r="D36" s="7">
        <f>(C36-B36)*24</f>
        <v>6</v>
      </c>
      <c r="E36" s="2" t="str">
        <f t="shared" si="1"/>
        <v>0</v>
      </c>
      <c r="F36" s="4">
        <f t="shared" si="0"/>
        <v>6</v>
      </c>
      <c r="G36" s="1">
        <v>1.5</v>
      </c>
      <c r="H36" s="3">
        <f t="shared" si="2"/>
        <v>135</v>
      </c>
      <c r="I36" s="3"/>
      <c r="J36" s="3" t="str">
        <f>IF(AND(C36&gt;B36,B36&gt;=0.375,C36&lt;=0.875),"ok",IF(B36+C36=0,"ok","error"))</f>
        <v>ok</v>
      </c>
      <c r="K36" s="4"/>
    </row>
    <row r="37" spans="1:11" ht="12.75">
      <c r="A37" s="1" t="s">
        <v>8</v>
      </c>
      <c r="B37" s="9">
        <v>0.625</v>
      </c>
      <c r="C37" s="9">
        <v>0.875</v>
      </c>
      <c r="D37" s="7">
        <f>(C37-B37)*24</f>
        <v>6</v>
      </c>
      <c r="E37" s="2" t="str">
        <f t="shared" si="1"/>
        <v>0</v>
      </c>
      <c r="F37" s="4">
        <f t="shared" si="0"/>
        <v>6</v>
      </c>
      <c r="G37" s="1">
        <v>1.45</v>
      </c>
      <c r="H37" s="3">
        <f t="shared" si="2"/>
        <v>130.5</v>
      </c>
      <c r="I37" s="3"/>
      <c r="J37" s="3" t="str">
        <f>IF(AND(C37&gt;B37,B37&gt;=0.375,C37&lt;=0.875),"ok",IF(B37+C37=0,"ok","error"))</f>
        <v>ok</v>
      </c>
      <c r="K37" s="4"/>
    </row>
    <row r="38" spans="1:11" ht="12.75">
      <c r="A38" s="1" t="s">
        <v>4</v>
      </c>
      <c r="B38" s="9">
        <v>0.5</v>
      </c>
      <c r="C38" s="9">
        <v>0.875</v>
      </c>
      <c r="D38" s="7">
        <f>(C38-B38)*24</f>
        <v>9</v>
      </c>
      <c r="E38" s="2">
        <f t="shared" si="1"/>
        <v>1</v>
      </c>
      <c r="F38" s="4">
        <f t="shared" si="0"/>
        <v>9.5</v>
      </c>
      <c r="G38" s="1">
        <v>1.59</v>
      </c>
      <c r="H38" s="3">
        <f t="shared" si="2"/>
        <v>226.57500000000002</v>
      </c>
      <c r="I38" s="3"/>
      <c r="J38" s="3" t="str">
        <f>IF(AND(C38&gt;B38,B38&gt;=0.375,C38&lt;=0.875),"ok",IF(B38+C38=0,"ok","error"))</f>
        <v>ok</v>
      </c>
      <c r="K38" s="4"/>
    </row>
    <row r="39" spans="1:11" ht="12.75">
      <c r="A39" s="1" t="s">
        <v>9</v>
      </c>
      <c r="B39" s="9">
        <v>0.4583333333333333</v>
      </c>
      <c r="C39" s="9">
        <v>0.7083333333333334</v>
      </c>
      <c r="D39" s="7">
        <f>(C39-B39)*24</f>
        <v>6.000000000000002</v>
      </c>
      <c r="E39" s="2" t="str">
        <f t="shared" si="1"/>
        <v>0</v>
      </c>
      <c r="F39" s="4">
        <f t="shared" si="0"/>
        <v>6.000000000000002</v>
      </c>
      <c r="G39" s="1">
        <v>1.6</v>
      </c>
      <c r="H39" s="3">
        <f t="shared" si="2"/>
        <v>144.00000000000006</v>
      </c>
      <c r="I39" s="3"/>
      <c r="J39" s="3" t="str">
        <f>IF(AND(C39&gt;B39,B39&gt;=0.375,C39&lt;=0.875),"ok",IF(B39+C39=0,"ok","error"))</f>
        <v>ok</v>
      </c>
      <c r="K39" s="4"/>
    </row>
    <row r="40" spans="1:11" ht="12.75">
      <c r="A40" s="1" t="s">
        <v>12</v>
      </c>
      <c r="D40" s="7">
        <f>(C40-B40)*24</f>
        <v>0</v>
      </c>
      <c r="E40" s="2" t="str">
        <f t="shared" si="1"/>
        <v>0</v>
      </c>
      <c r="F40" s="4">
        <f>IF(D40&gt;8,D40+(D40-8)*0.5,D40)</f>
        <v>0</v>
      </c>
      <c r="G40" s="1">
        <v>1.25</v>
      </c>
      <c r="H40" s="3">
        <f t="shared" si="2"/>
        <v>0</v>
      </c>
      <c r="I40" s="3"/>
      <c r="J40" s="3" t="str">
        <f>IF(AND(C40&gt;B40,B40&gt;=0.375,C40&lt;=0.875),"ok",IF(B40+C40=0,"ok","error"))</f>
        <v>ok</v>
      </c>
      <c r="K40" s="4"/>
    </row>
    <row r="41" spans="4:11" ht="12.75">
      <c r="D41" s="7"/>
      <c r="E41" s="2"/>
      <c r="F41" s="4"/>
      <c r="H41" s="3"/>
      <c r="I41" s="3"/>
      <c r="J41" s="3"/>
      <c r="K41" s="1"/>
    </row>
    <row r="42" spans="1:11" ht="12.75">
      <c r="A42" t="s">
        <v>19</v>
      </c>
      <c r="D42" s="7"/>
      <c r="E42" s="2"/>
      <c r="F42" s="4"/>
      <c r="H42" s="3"/>
      <c r="I42" s="3"/>
      <c r="J42" s="3"/>
      <c r="K42" s="1"/>
    </row>
    <row r="43" spans="1:11" ht="12.75">
      <c r="A43" s="1" t="s">
        <v>7</v>
      </c>
      <c r="B43" s="9">
        <v>0.625</v>
      </c>
      <c r="C43" s="9">
        <v>0.75</v>
      </c>
      <c r="D43" s="7">
        <f>((C43-B43)*24)</f>
        <v>3</v>
      </c>
      <c r="E43" s="2" t="str">
        <f>IF((C43-B43)*24&gt;8,(C43-B43)*24-8,"0")</f>
        <v>0</v>
      </c>
      <c r="F43" s="4">
        <f aca="true" t="shared" si="4" ref="F43:F54">IF(D43&gt;8,D43+(D43-8)*0.5,D43)</f>
        <v>3</v>
      </c>
      <c r="G43" s="1">
        <v>1.5</v>
      </c>
      <c r="H43" s="3">
        <f>(F43*G43*$B$3)*1.5</f>
        <v>101.25</v>
      </c>
      <c r="I43" s="3"/>
      <c r="J43" s="3" t="str">
        <f t="shared" si="3"/>
        <v>ok</v>
      </c>
      <c r="K43" s="1"/>
    </row>
    <row r="44" spans="1:11" ht="12.75">
      <c r="A44" s="1" t="s">
        <v>8</v>
      </c>
      <c r="B44" s="9">
        <v>0.375</v>
      </c>
      <c r="C44" s="9">
        <v>0.7083333333333334</v>
      </c>
      <c r="D44" s="7">
        <f>((C44-B44)*24)</f>
        <v>8</v>
      </c>
      <c r="E44" s="2" t="str">
        <f>IF((C44-B44)*24&gt;8,(C44-B44)*24-8,"0")</f>
        <v>0</v>
      </c>
      <c r="F44" s="4">
        <f t="shared" si="4"/>
        <v>8</v>
      </c>
      <c r="G44" s="1">
        <v>1.45</v>
      </c>
      <c r="H44" s="3">
        <f>(F44*G44*$B$3)*1.5</f>
        <v>261</v>
      </c>
      <c r="I44" s="3"/>
      <c r="J44" s="3" t="str">
        <f t="shared" si="3"/>
        <v>ok</v>
      </c>
      <c r="K44" s="1"/>
    </row>
    <row r="45" spans="1:11" ht="12.75">
      <c r="A45" s="1" t="s">
        <v>4</v>
      </c>
      <c r="B45" s="9">
        <v>0.5</v>
      </c>
      <c r="C45" s="9">
        <v>0.625</v>
      </c>
      <c r="D45" s="7">
        <f>((C45-B45)*24)</f>
        <v>3</v>
      </c>
      <c r="E45" s="2" t="str">
        <f>IF((C45-B45)*24&gt;8,(C45-B45)*24-8,"0")</f>
        <v>0</v>
      </c>
      <c r="F45" s="4">
        <f t="shared" si="4"/>
        <v>3</v>
      </c>
      <c r="G45" s="1">
        <v>1.59</v>
      </c>
      <c r="H45" s="3">
        <f>(F45*G45*$B$3)*1.5</f>
        <v>107.32500000000002</v>
      </c>
      <c r="I45" s="3"/>
      <c r="J45" s="3" t="str">
        <f t="shared" si="3"/>
        <v>ok</v>
      </c>
      <c r="K45" s="1"/>
    </row>
    <row r="46" spans="1:11" ht="12.75">
      <c r="A46" s="1" t="s">
        <v>9</v>
      </c>
      <c r="D46" s="7">
        <f>((C46-B46)*24)</f>
        <v>0</v>
      </c>
      <c r="E46" s="2" t="str">
        <f>IF((C46-B46)*24&gt;8,(C46-B46)*24-8,"0")</f>
        <v>0</v>
      </c>
      <c r="F46" s="4">
        <f t="shared" si="4"/>
        <v>0</v>
      </c>
      <c r="G46" s="1">
        <v>1.6</v>
      </c>
      <c r="H46" s="3">
        <f>(F46*G46*$B$3)*1.5</f>
        <v>0</v>
      </c>
      <c r="I46" s="3"/>
      <c r="J46" s="3" t="str">
        <f t="shared" si="3"/>
        <v>ok</v>
      </c>
      <c r="K46" s="1"/>
    </row>
    <row r="47" spans="1:11" ht="12.75">
      <c r="A47" s="1" t="s">
        <v>12</v>
      </c>
      <c r="D47" s="7">
        <f>((C47-B47)*24)</f>
        <v>0</v>
      </c>
      <c r="E47" s="2" t="str">
        <f>IF((C47-B47)*24&gt;8,(C47-B47)*24-8,"0")</f>
        <v>0</v>
      </c>
      <c r="F47" s="4">
        <f t="shared" si="4"/>
        <v>0</v>
      </c>
      <c r="G47" s="1">
        <v>1.25</v>
      </c>
      <c r="H47" s="3">
        <f>(F47*G47*$B$3)*1.5</f>
        <v>0</v>
      </c>
      <c r="I47" s="3"/>
      <c r="J47" s="3" t="str">
        <f t="shared" si="3"/>
        <v>ok</v>
      </c>
      <c r="K47" s="1"/>
    </row>
    <row r="48" spans="4:11" ht="12.75">
      <c r="D48" s="7"/>
      <c r="E48" s="2"/>
      <c r="F48" s="4"/>
      <c r="H48" s="3"/>
      <c r="I48" s="3"/>
      <c r="J48" s="3"/>
      <c r="K48" s="1"/>
    </row>
    <row r="49" spans="1:11" ht="12.75">
      <c r="A49" t="s">
        <v>20</v>
      </c>
      <c r="D49" s="7"/>
      <c r="E49" s="2"/>
      <c r="F49" s="4"/>
      <c r="H49" s="3"/>
      <c r="I49" s="3"/>
      <c r="J49" s="3"/>
      <c r="K49" s="1"/>
    </row>
    <row r="50" spans="1:11" ht="12.75">
      <c r="A50" s="1" t="s">
        <v>7</v>
      </c>
      <c r="B50" s="9">
        <v>0.375</v>
      </c>
      <c r="C50" s="9">
        <v>0.7083333333333334</v>
      </c>
      <c r="D50" s="7">
        <f>((C50-B50)*24)</f>
        <v>8</v>
      </c>
      <c r="E50" s="2" t="str">
        <f t="shared" si="1"/>
        <v>0</v>
      </c>
      <c r="F50" s="4">
        <f t="shared" si="4"/>
        <v>8</v>
      </c>
      <c r="G50" s="1">
        <v>1.5</v>
      </c>
      <c r="H50" s="3">
        <f>(F50*G50*$B$3)*2</f>
        <v>360</v>
      </c>
      <c r="I50" s="3"/>
      <c r="J50" s="3" t="str">
        <f>IF(AND(C50&gt;B50,B50&gt;=0.375,C50&lt;=0.708334),"ok",IF(B50+C50=0,"ok","error"))</f>
        <v>ok</v>
      </c>
      <c r="K50" s="28"/>
    </row>
    <row r="51" spans="1:11" ht="12.75">
      <c r="A51" s="1" t="s">
        <v>8</v>
      </c>
      <c r="D51" s="7">
        <f>((C51-B51)*24)</f>
        <v>0</v>
      </c>
      <c r="E51" s="2" t="str">
        <f t="shared" si="1"/>
        <v>0</v>
      </c>
      <c r="F51" s="4">
        <f t="shared" si="4"/>
        <v>0</v>
      </c>
      <c r="G51" s="1">
        <v>1.45</v>
      </c>
      <c r="H51" s="3">
        <f>(F51*G51*$B$3)*2</f>
        <v>0</v>
      </c>
      <c r="I51" s="3"/>
      <c r="J51" s="3" t="str">
        <f>IF(AND(C51&gt;B51,B51&gt;=0.375,C51&lt;=0.708334),"ok",IF(B51+C51=0,"ok","error"))</f>
        <v>ok</v>
      </c>
      <c r="K51" s="28"/>
    </row>
    <row r="52" spans="1:11" ht="12.75">
      <c r="A52" s="1" t="s">
        <v>4</v>
      </c>
      <c r="D52" s="7">
        <f>((C52-B52)*24)</f>
        <v>0</v>
      </c>
      <c r="E52" s="2" t="str">
        <f t="shared" si="1"/>
        <v>0</v>
      </c>
      <c r="F52" s="4">
        <f t="shared" si="4"/>
        <v>0</v>
      </c>
      <c r="G52" s="1">
        <v>1.59</v>
      </c>
      <c r="H52" s="3">
        <f>(F52*G52*$B$3)*2</f>
        <v>0</v>
      </c>
      <c r="I52" s="3"/>
      <c r="J52" s="3" t="str">
        <f>IF(AND(C52&gt;B52,B52&gt;=0.375,C52&lt;=0.708334),"ok",IF(B52+C52=0,"ok","error"))</f>
        <v>ok</v>
      </c>
      <c r="K52" s="28"/>
    </row>
    <row r="53" spans="1:11" ht="12.75">
      <c r="A53" s="1" t="s">
        <v>9</v>
      </c>
      <c r="B53" s="9">
        <v>0.375</v>
      </c>
      <c r="C53" s="9">
        <v>0.5416666666666666</v>
      </c>
      <c r="D53" s="7">
        <f>((C53-B53)*24)</f>
        <v>3.999999999999999</v>
      </c>
      <c r="E53" s="2" t="str">
        <f t="shared" si="1"/>
        <v>0</v>
      </c>
      <c r="F53" s="4">
        <f t="shared" si="4"/>
        <v>3.999999999999999</v>
      </c>
      <c r="G53" s="1">
        <v>1.6</v>
      </c>
      <c r="H53" s="3">
        <f>(F53*G53*$B$3)*2</f>
        <v>191.99999999999994</v>
      </c>
      <c r="I53" s="3"/>
      <c r="J53" s="3" t="str">
        <f>IF(AND(C53&gt;B53,B53&gt;=0.375,C53&lt;=0.708334),"ok",IF(B53+C53=0,"ok","error"))</f>
        <v>ok</v>
      </c>
      <c r="K53" s="28"/>
    </row>
    <row r="54" spans="1:11" ht="12.75">
      <c r="A54" s="1" t="s">
        <v>12</v>
      </c>
      <c r="B54" s="9">
        <v>0.5416666666666666</v>
      </c>
      <c r="C54" s="9">
        <v>0.7083333333333334</v>
      </c>
      <c r="D54" s="7">
        <f>((C54-B54)*24)</f>
        <v>4.000000000000002</v>
      </c>
      <c r="E54" s="2" t="str">
        <f t="shared" si="1"/>
        <v>0</v>
      </c>
      <c r="F54" s="4">
        <f t="shared" si="4"/>
        <v>4.000000000000002</v>
      </c>
      <c r="G54" s="1">
        <v>1.25</v>
      </c>
      <c r="H54" s="3">
        <f>(F54*G54*$B$3)*2</f>
        <v>150.00000000000006</v>
      </c>
      <c r="I54" s="3"/>
      <c r="J54" s="3" t="str">
        <f>IF(AND(C54&gt;B54,B54&gt;=0.375,C54&lt;=0.708334),"ok",IF(B54+C54=0,"ok","error"))</f>
        <v>ok</v>
      </c>
      <c r="K54" s="28"/>
    </row>
    <row r="56" spans="1:11" ht="12.75">
      <c r="A56" t="s">
        <v>28</v>
      </c>
      <c r="B56" t="s">
        <v>29</v>
      </c>
      <c r="C56" t="s">
        <v>26</v>
      </c>
      <c r="D56" t="s">
        <v>21</v>
      </c>
      <c r="E56" t="s">
        <v>27</v>
      </c>
      <c r="F56" t="s">
        <v>31</v>
      </c>
      <c r="K56" t="s">
        <v>56</v>
      </c>
    </row>
    <row r="57" spans="1:11" ht="12.75">
      <c r="A57" s="1" t="s">
        <v>9</v>
      </c>
      <c r="B57">
        <f>F11+F18+F25+F32+F39+F46+F53</f>
        <v>28</v>
      </c>
      <c r="C57" s="8">
        <f>H11+H18+H25+H32+H39+H46+H53</f>
        <v>768</v>
      </c>
      <c r="D57" s="8">
        <f>VLOOKUP(C57*52,taxrates,2)*C57</f>
        <v>230.39999999999998</v>
      </c>
      <c r="E57" s="8">
        <f>C57-D57</f>
        <v>537.6</v>
      </c>
      <c r="F57" s="11">
        <f>ROUNDUP(C57*0.07,0)</f>
        <v>54</v>
      </c>
      <c r="H57" s="2">
        <v>5215</v>
      </c>
      <c r="J57">
        <f>B57*60</f>
        <v>1680</v>
      </c>
      <c r="K57">
        <f>IF(H57&gt;J57,50+(H57-J57)*0.01,"")</f>
        <v>85.35</v>
      </c>
    </row>
    <row r="58" spans="1:11" ht="12.75">
      <c r="A58" s="1" t="s">
        <v>7</v>
      </c>
      <c r="B58">
        <f>F8+F15+F22+F29+F36+F43+F50</f>
        <v>35</v>
      </c>
      <c r="C58" s="8">
        <f>H8+H15+H22+H29+H36+H43+H50</f>
        <v>1001.2499999999999</v>
      </c>
      <c r="D58" s="8">
        <f>VLOOKUP(C58*52,taxrates,2)*C58</f>
        <v>300.37499999999994</v>
      </c>
      <c r="E58" s="8">
        <f>C58-D58</f>
        <v>700.875</v>
      </c>
      <c r="F58" s="11">
        <f>ROUNDUP(C58*0.07,0)</f>
        <v>71</v>
      </c>
      <c r="H58" s="2">
        <v>2156</v>
      </c>
      <c r="J58">
        <f>B58*60</f>
        <v>2100</v>
      </c>
      <c r="K58">
        <f>IF(H58&gt;J58,50+(H58-J58)*0.01,"")</f>
        <v>50.56</v>
      </c>
    </row>
    <row r="59" spans="1:11" ht="12.75">
      <c r="A59" s="1" t="s">
        <v>12</v>
      </c>
      <c r="B59">
        <f>F12+F19+F26+F33+F40+F47+F54</f>
        <v>20</v>
      </c>
      <c r="C59" s="8">
        <f>H12+H19+H26+H33+H40+H47+H54</f>
        <v>450.00000000000006</v>
      </c>
      <c r="D59" s="8">
        <f>VLOOKUP(C59*52,taxrates,2)*C59</f>
        <v>135</v>
      </c>
      <c r="E59" s="8">
        <f>C59-D59</f>
        <v>315.00000000000006</v>
      </c>
      <c r="F59" s="11">
        <f>ROUNDUP(C59*0.07,0)</f>
        <v>32</v>
      </c>
      <c r="H59" s="2">
        <v>3598</v>
      </c>
      <c r="J59">
        <f>B59*60</f>
        <v>1200</v>
      </c>
      <c r="K59">
        <f>IF(H59&gt;J59,50+(H59-J59)*0.01,"")</f>
        <v>73.98</v>
      </c>
    </row>
    <row r="60" spans="1:11" ht="12.75">
      <c r="A60" s="1" t="s">
        <v>8</v>
      </c>
      <c r="B60">
        <f>F9+F16+F23+F30+F37+F44+F51</f>
        <v>33</v>
      </c>
      <c r="C60" s="8">
        <f>H9+H16+H23+H30+H37+H44+H51</f>
        <v>804.75</v>
      </c>
      <c r="D60" s="8">
        <f>VLOOKUP(C60*52,taxrates,2)*C60</f>
        <v>241.42499999999998</v>
      </c>
      <c r="E60" s="8">
        <f>C60-D60</f>
        <v>563.325</v>
      </c>
      <c r="F60" s="11">
        <f>ROUNDUP(C60*0.07,0)</f>
        <v>57</v>
      </c>
      <c r="H60" s="2">
        <v>4589</v>
      </c>
      <c r="J60">
        <f>B60*60</f>
        <v>1980</v>
      </c>
      <c r="K60">
        <f>IF(H60&gt;J60,50+(H60-J60)*0.01,"")</f>
        <v>76.09</v>
      </c>
    </row>
    <row r="61" spans="1:11" ht="12.75">
      <c r="A61" s="1" t="s">
        <v>4</v>
      </c>
      <c r="B61">
        <f>F10+F17+F24+F31+F38+F45+F52</f>
        <v>29.5</v>
      </c>
      <c r="C61" s="8">
        <f>H10+H17+H24+H31+H38+H45+H52</f>
        <v>739.3500000000001</v>
      </c>
      <c r="D61" s="8">
        <f>VLOOKUP(C61*52,taxrates,2)*C61</f>
        <v>221.80500000000004</v>
      </c>
      <c r="E61" s="8">
        <f>C61-D61</f>
        <v>517.5450000000001</v>
      </c>
      <c r="F61" s="11">
        <f>ROUNDUP(C61*0.07,0)</f>
        <v>52</v>
      </c>
      <c r="H61" s="2">
        <v>4214</v>
      </c>
      <c r="J61">
        <f>B61*60</f>
        <v>1770</v>
      </c>
      <c r="K61">
        <f>IF(H61&gt;J61,50+(H61-J61)*0.01,"")</f>
        <v>74.44</v>
      </c>
    </row>
    <row r="63" ht="12.75">
      <c r="A63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I9" sqref="I9"/>
    </sheetView>
  </sheetViews>
  <sheetFormatPr defaultColWidth="9.140625" defaultRowHeight="12.75"/>
  <cols>
    <col min="2" max="2" width="14.00390625" style="0" bestFit="1" customWidth="1"/>
    <col min="3" max="3" width="10.8515625" style="0" bestFit="1" customWidth="1"/>
    <col min="8" max="8" width="16.421875" style="0" customWidth="1"/>
    <col min="9" max="9" width="14.421875" style="0" bestFit="1" customWidth="1"/>
  </cols>
  <sheetData>
    <row r="1" spans="1:2" ht="13.5" thickBot="1">
      <c r="A1" s="31" t="s">
        <v>22</v>
      </c>
      <c r="B1" s="31"/>
    </row>
    <row r="2" spans="1:11" ht="12.75">
      <c r="A2" t="s">
        <v>23</v>
      </c>
      <c r="B2" t="s">
        <v>24</v>
      </c>
      <c r="G2" s="13"/>
      <c r="H2" s="14"/>
      <c r="I2" s="14"/>
      <c r="J2" s="14"/>
      <c r="K2" s="15"/>
    </row>
    <row r="3" spans="1:11" ht="15.75" customHeight="1">
      <c r="A3">
        <v>0</v>
      </c>
      <c r="B3">
        <v>0</v>
      </c>
      <c r="G3" s="35" t="s">
        <v>33</v>
      </c>
      <c r="H3" s="36"/>
      <c r="I3" s="36"/>
      <c r="J3" s="36"/>
      <c r="K3" s="37"/>
    </row>
    <row r="4" spans="1:11" ht="12.75">
      <c r="A4">
        <v>6000</v>
      </c>
      <c r="B4">
        <v>0.15</v>
      </c>
      <c r="G4" s="16"/>
      <c r="H4" s="17"/>
      <c r="I4" s="17"/>
      <c r="J4" s="17"/>
      <c r="K4" s="18"/>
    </row>
    <row r="5" spans="1:11" ht="12.75">
      <c r="A5">
        <v>21600</v>
      </c>
      <c r="B5">
        <v>0.3</v>
      </c>
      <c r="G5" s="16"/>
      <c r="H5" s="17"/>
      <c r="I5" s="17"/>
      <c r="J5" s="17"/>
      <c r="K5" s="18"/>
    </row>
    <row r="6" spans="1:11" ht="18">
      <c r="A6">
        <v>63000</v>
      </c>
      <c r="B6">
        <v>0.42</v>
      </c>
      <c r="G6" s="32" t="s">
        <v>49</v>
      </c>
      <c r="H6" s="33"/>
      <c r="I6" s="33"/>
      <c r="J6" s="33"/>
      <c r="K6" s="34"/>
    </row>
    <row r="7" spans="1:11" ht="12.75">
      <c r="A7">
        <v>95000</v>
      </c>
      <c r="B7">
        <v>0.47</v>
      </c>
      <c r="G7" s="16"/>
      <c r="H7" s="17"/>
      <c r="I7" s="17"/>
      <c r="J7" s="17"/>
      <c r="K7" s="18"/>
    </row>
    <row r="8" spans="7:11" ht="12.75">
      <c r="G8" s="16"/>
      <c r="H8" s="19" t="s">
        <v>25</v>
      </c>
      <c r="I8" s="17" t="s">
        <v>7</v>
      </c>
      <c r="J8" s="17"/>
      <c r="K8" s="18"/>
    </row>
    <row r="9" spans="7:11" ht="12.75">
      <c r="G9" s="16"/>
      <c r="H9" s="19"/>
      <c r="I9" s="17"/>
      <c r="J9" s="17"/>
      <c r="K9" s="18"/>
    </row>
    <row r="10" spans="7:11" ht="12.75">
      <c r="G10" s="16"/>
      <c r="H10" s="19" t="s">
        <v>30</v>
      </c>
      <c r="I10" s="17" t="str">
        <f>VLOOKUP(I8,addresses,2)</f>
        <v>3 Packington St</v>
      </c>
      <c r="J10" s="17"/>
      <c r="K10" s="18"/>
    </row>
    <row r="11" spans="1:11" ht="12.75">
      <c r="A11" t="s">
        <v>0</v>
      </c>
      <c r="B11" t="s">
        <v>34</v>
      </c>
      <c r="C11" t="s">
        <v>36</v>
      </c>
      <c r="D11" t="s">
        <v>37</v>
      </c>
      <c r="E11" t="s">
        <v>38</v>
      </c>
      <c r="G11" s="16"/>
      <c r="H11" s="19"/>
      <c r="I11" s="17" t="str">
        <f>VLOOKUP(I8,addresses,3)</f>
        <v>Camberwell</v>
      </c>
      <c r="J11" s="17"/>
      <c r="K11" s="18"/>
    </row>
    <row r="12" spans="1:11" ht="12.75">
      <c r="A12" t="s">
        <v>9</v>
      </c>
      <c r="B12" t="s">
        <v>35</v>
      </c>
      <c r="C12" t="s">
        <v>39</v>
      </c>
      <c r="D12">
        <v>3931</v>
      </c>
      <c r="E12" t="s">
        <v>40</v>
      </c>
      <c r="G12" s="16"/>
      <c r="H12" s="17"/>
      <c r="I12" s="17">
        <f>VLOOKUP(I8,addresses,4)</f>
        <v>3124</v>
      </c>
      <c r="J12" s="20" t="str">
        <f>VLOOKUP(I8,addresses,5)</f>
        <v>VIC</v>
      </c>
      <c r="K12" s="18"/>
    </row>
    <row r="13" spans="1:11" ht="12.75">
      <c r="A13" t="s">
        <v>12</v>
      </c>
      <c r="B13" t="s">
        <v>41</v>
      </c>
      <c r="C13" t="s">
        <v>42</v>
      </c>
      <c r="D13">
        <v>3181</v>
      </c>
      <c r="E13" t="s">
        <v>40</v>
      </c>
      <c r="G13" s="16"/>
      <c r="H13" s="17"/>
      <c r="I13" s="17"/>
      <c r="J13" s="17"/>
      <c r="K13" s="18"/>
    </row>
    <row r="14" spans="1:11" ht="12.75">
      <c r="A14" t="s">
        <v>7</v>
      </c>
      <c r="B14" t="s">
        <v>43</v>
      </c>
      <c r="C14" t="s">
        <v>44</v>
      </c>
      <c r="D14">
        <v>3124</v>
      </c>
      <c r="E14" t="s">
        <v>40</v>
      </c>
      <c r="G14" s="16"/>
      <c r="H14" s="19" t="s">
        <v>3</v>
      </c>
      <c r="I14" s="17">
        <f>VLOOKUP(I8,totals,2)</f>
        <v>35</v>
      </c>
      <c r="J14" s="17"/>
      <c r="K14" s="18"/>
    </row>
    <row r="15" spans="1:11" ht="12.75">
      <c r="A15" t="s">
        <v>8</v>
      </c>
      <c r="B15" t="s">
        <v>45</v>
      </c>
      <c r="C15" t="s">
        <v>46</v>
      </c>
      <c r="D15">
        <v>3930</v>
      </c>
      <c r="E15" t="s">
        <v>40</v>
      </c>
      <c r="G15" s="16"/>
      <c r="H15" s="19"/>
      <c r="I15" s="17"/>
      <c r="J15" s="17"/>
      <c r="K15" s="18"/>
    </row>
    <row r="16" spans="1:11" ht="12.75">
      <c r="A16" t="s">
        <v>4</v>
      </c>
      <c r="B16" t="s">
        <v>47</v>
      </c>
      <c r="C16" t="s">
        <v>48</v>
      </c>
      <c r="D16">
        <v>3930</v>
      </c>
      <c r="E16" t="s">
        <v>40</v>
      </c>
      <c r="G16" s="16"/>
      <c r="H16" s="19" t="s">
        <v>26</v>
      </c>
      <c r="I16" s="26">
        <f>VLOOKUP(I8,totals,3)</f>
        <v>1001.2499999999999</v>
      </c>
      <c r="J16" s="17"/>
      <c r="K16" s="18"/>
    </row>
    <row r="17" spans="7:11" ht="12.75">
      <c r="G17" s="16"/>
      <c r="H17" s="19"/>
      <c r="I17" s="17"/>
      <c r="J17" s="17"/>
      <c r="K17" s="18"/>
    </row>
    <row r="18" spans="7:11" ht="12.75">
      <c r="G18" s="16"/>
      <c r="H18" s="19" t="s">
        <v>21</v>
      </c>
      <c r="I18" s="38">
        <f>IF(I16&lt;115,"0",IF(AND(I16&lt;=415,I16&gt;115),(I16-115)*C27,IF(AND(I16&gt;415,I16&lt;=769),D27+(I16-B27)*C28,IF(AND(I16&gt;=770,I16&lt;1250),D27+D28+(I16-B28)*C29,IF(I16&gt;A30,D27+D28+D29+(I16-A30)*C30,"error")))))</f>
        <v>248.29499999999996</v>
      </c>
      <c r="K18" s="18"/>
    </row>
    <row r="19" spans="1:11" ht="12.75">
      <c r="A19" t="s">
        <v>9</v>
      </c>
      <c r="B19" t="s">
        <v>52</v>
      </c>
      <c r="C19">
        <v>45896237</v>
      </c>
      <c r="G19" s="16"/>
      <c r="H19" s="19"/>
      <c r="I19" s="17"/>
      <c r="J19" s="17"/>
      <c r="K19" s="18"/>
    </row>
    <row r="20" spans="1:11" ht="12.75">
      <c r="A20" t="s">
        <v>12</v>
      </c>
      <c r="B20" t="s">
        <v>53</v>
      </c>
      <c r="C20">
        <v>58965412</v>
      </c>
      <c r="G20" s="16"/>
      <c r="H20" s="19" t="s">
        <v>27</v>
      </c>
      <c r="I20" s="25">
        <f>I16-I18</f>
        <v>752.9549999999999</v>
      </c>
      <c r="J20" s="17"/>
      <c r="K20" s="18"/>
    </row>
    <row r="21" spans="1:11" ht="12.75">
      <c r="A21" t="s">
        <v>7</v>
      </c>
      <c r="B21" t="s">
        <v>53</v>
      </c>
      <c r="C21">
        <v>58965478</v>
      </c>
      <c r="G21" s="16"/>
      <c r="H21" s="19"/>
      <c r="I21" s="17"/>
      <c r="J21" s="17"/>
      <c r="K21" s="18"/>
    </row>
    <row r="22" spans="1:11" ht="12.75">
      <c r="A22" t="s">
        <v>8</v>
      </c>
      <c r="B22" t="s">
        <v>54</v>
      </c>
      <c r="C22">
        <v>23569859</v>
      </c>
      <c r="G22" s="16"/>
      <c r="H22" s="19" t="s">
        <v>31</v>
      </c>
      <c r="I22" s="26">
        <f>I16*0.07</f>
        <v>70.0875</v>
      </c>
      <c r="J22" s="17"/>
      <c r="K22" s="18"/>
    </row>
    <row r="23" spans="1:11" ht="12.75">
      <c r="A23" t="s">
        <v>4</v>
      </c>
      <c r="B23" t="s">
        <v>54</v>
      </c>
      <c r="C23">
        <v>23568965</v>
      </c>
      <c r="G23" s="16"/>
      <c r="H23" s="17"/>
      <c r="I23" s="17"/>
      <c r="J23" s="17"/>
      <c r="K23" s="18"/>
    </row>
    <row r="24" spans="7:11" ht="25.5">
      <c r="G24" s="16"/>
      <c r="H24" s="27" t="s">
        <v>50</v>
      </c>
      <c r="I24" s="20" t="str">
        <f>VLOOKUP(I8,super,2)</f>
        <v>HESTA</v>
      </c>
      <c r="J24" s="17"/>
      <c r="K24" s="24"/>
    </row>
    <row r="25" spans="7:11" ht="12.75">
      <c r="G25" s="16"/>
      <c r="H25" s="19"/>
      <c r="I25" s="17"/>
      <c r="J25" s="17"/>
      <c r="K25" s="18"/>
    </row>
    <row r="26" spans="1:11" ht="12.75">
      <c r="A26">
        <v>0</v>
      </c>
      <c r="B26">
        <v>115</v>
      </c>
      <c r="C26" s="30">
        <v>0</v>
      </c>
      <c r="D26">
        <v>0</v>
      </c>
      <c r="G26" s="16"/>
      <c r="H26" s="19" t="s">
        <v>51</v>
      </c>
      <c r="I26" s="17">
        <f>VLOOKUP(I8,super,3)</f>
        <v>58965478</v>
      </c>
      <c r="J26" s="17"/>
      <c r="K26" s="18"/>
    </row>
    <row r="27" spans="1:11" ht="12.75">
      <c r="A27">
        <v>116</v>
      </c>
      <c r="B27">
        <v>415</v>
      </c>
      <c r="C27" s="30">
        <v>0.15</v>
      </c>
      <c r="D27">
        <v>44.85</v>
      </c>
      <c r="G27" s="16"/>
      <c r="J27" s="17"/>
      <c r="K27" s="18"/>
    </row>
    <row r="28" spans="1:11" ht="12.75">
      <c r="A28">
        <v>416</v>
      </c>
      <c r="B28">
        <v>769</v>
      </c>
      <c r="C28" s="30">
        <v>0.3</v>
      </c>
      <c r="D28">
        <v>105.9</v>
      </c>
      <c r="G28" s="16"/>
      <c r="H28" s="29" t="s">
        <v>58</v>
      </c>
      <c r="I28" s="39">
        <f>VLOOKUP(I8,Sheet2!A57:K61,11)</f>
        <v>50.56</v>
      </c>
      <c r="J28" s="17"/>
      <c r="K28" s="18"/>
    </row>
    <row r="29" spans="1:11" ht="13.5" thickBot="1">
      <c r="A29">
        <v>770</v>
      </c>
      <c r="B29">
        <v>1250</v>
      </c>
      <c r="C29" s="30">
        <v>0.42</v>
      </c>
      <c r="D29">
        <v>201.6</v>
      </c>
      <c r="G29" s="21"/>
      <c r="H29" s="22"/>
      <c r="I29" s="22"/>
      <c r="J29" s="22"/>
      <c r="K29" s="23"/>
    </row>
    <row r="30" spans="1:3" ht="12.75">
      <c r="A30">
        <v>1250</v>
      </c>
      <c r="B30" t="s">
        <v>57</v>
      </c>
      <c r="C30" s="30">
        <v>0.47</v>
      </c>
    </row>
  </sheetData>
  <mergeCells count="3">
    <mergeCell ref="A1:B1"/>
    <mergeCell ref="G6:K6"/>
    <mergeCell ref="G3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Howard</dc:creator>
  <cp:keywords/>
  <dc:description/>
  <cp:lastModifiedBy>DHoward</cp:lastModifiedBy>
  <cp:lastPrinted>2005-07-20T05:09:48Z</cp:lastPrinted>
  <dcterms:created xsi:type="dcterms:W3CDTF">2004-07-20T06:39:18Z</dcterms:created>
  <dcterms:modified xsi:type="dcterms:W3CDTF">2005-08-09T02:12:34Z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